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25410" windowHeight="10575"/>
  </bookViews>
  <sheets>
    <sheet name="Sheet 1" sheetId="1" r:id="rId1"/>
    <sheet name="Chk" sheetId="3" r:id="rId2"/>
  </sheets>
  <calcPr calcId="162913"/>
</workbook>
</file>

<file path=xl/calcChain.xml><?xml version="1.0" encoding="utf-8"?>
<calcChain xmlns="http://schemas.openxmlformats.org/spreadsheetml/2006/main">
  <c r="I24" i="1" l="1"/>
  <c r="B38" i="1"/>
  <c r="B37" i="1"/>
  <c r="B33" i="1"/>
  <c r="B32" i="1"/>
  <c r="H34" i="1"/>
  <c r="I34" i="1"/>
  <c r="I40" i="1"/>
  <c r="H40" i="1"/>
  <c r="I38" i="1"/>
  <c r="H38" i="1"/>
  <c r="I32" i="1"/>
  <c r="H32" i="1"/>
  <c r="I18" i="1"/>
  <c r="I6" i="1"/>
  <c r="H6" i="1"/>
  <c r="H18" i="1"/>
  <c r="C38" i="1"/>
  <c r="H19" i="1"/>
  <c r="I19" i="1"/>
  <c r="H17" i="1"/>
  <c r="I17" i="1"/>
  <c r="I15" i="1"/>
  <c r="H15" i="1"/>
  <c r="I14" i="1"/>
  <c r="H14" i="1"/>
  <c r="I9" i="1"/>
  <c r="H9" i="1"/>
  <c r="H7" i="1"/>
  <c r="I7" i="1"/>
  <c r="I5" i="1"/>
  <c r="H5" i="1"/>
  <c r="C37" i="1"/>
  <c r="C33" i="1"/>
  <c r="C32" i="1"/>
  <c r="B19" i="1"/>
  <c r="B7" i="1"/>
  <c r="B6" i="1"/>
  <c r="C19" i="1"/>
  <c r="C6" i="1"/>
  <c r="H24" i="1" l="1"/>
  <c r="J22" i="1" l="1"/>
  <c r="D26" i="1"/>
  <c r="E26" i="1" s="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<sst xmlns="http://schemas.openxmlformats.org/spreadsheetml/2006/main" count="135" uniqueCount="99">
  <si>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</si>
  <si>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</si>
  <si>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</si>
  <si>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</si>
  <si>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</si>
  <si>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</si>
  <si>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</si>
  <si>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</si>
  <si>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</si>
  <si>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</si>
  <si>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</si>
  <si>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</si>
  <si>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</si>
  <si>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</si>
  <si>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</si>
  <si>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</si>
  <si>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</si>
  <si>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</si>
  <si>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</si>
  <si>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</si>
  <si>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</si>
  <si>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</si>
  <si>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</si>
  <si>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</si>
  <si>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</si>
  <si>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</si>
  <si>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</si>
  <si>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</si>
  <si>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</si>
  <si>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</si>
  <si>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</si>
  <si>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</si>
  <si>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</si>
  <si>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</si>
  <si>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</si>
  <si>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</si>
  <si>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</si>
  <si>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</si>
  <si>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</si>
  <si>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</si>
  <si>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</si>
  <si>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</si>
  <si>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</si>
  <si>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</si>
  <si>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</si>
  <si>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</si>
  <si>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</si>
  <si>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</si>
  <si>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</si>
  <si>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</si>
  <si>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</si>
  <si>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</si>
  <si>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</si>
  <si>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</si>
  <si>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</si>
  <si>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</si>
  <si>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</si>
  <si>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</si>
  <si>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</si>
  <si>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</si>
  <si>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</si>
  <si>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</si>
  <si>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</si>
  <si>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</si>
  <si>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</si>
  <si>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</si>
  <si>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</si>
  <si>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</si>
  <si>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</si>
  <si>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</si>
  <si>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IU Ft. Wayne***</t>
  </si>
  <si>
    <t>O' Neil SPEA</t>
  </si>
  <si>
    <t>O'Neil SPEA</t>
  </si>
  <si>
    <t>IN Total#</t>
  </si>
  <si>
    <t>*** Registration at IU Ft. Wayne began after the Spring 2018 smester for Fall 2018. Numbers will not be comparable June. Includes hours in Purdue courses</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</si>
  <si>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</si>
  <si>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</si>
  <si>
    <t>6/17/2019</t>
  </si>
  <si>
    <t>6/11/2018</t>
  </si>
  <si>
    <t>Office of Institutional Research and Decision Support 6/17/2019</t>
  </si>
  <si>
    <t>+4 ug; -187 grad; -3 non-degree</t>
  </si>
  <si>
    <t>+13 ug; -1 grad/prof</t>
  </si>
  <si>
    <t>-67 ug; +26 grad; -15 non-degree</t>
  </si>
  <si>
    <t>-112 ug; -86 grad</t>
  </si>
  <si>
    <t>+8 ug; +8 grad; -1 non-degree</t>
  </si>
  <si>
    <t>-28 ug; +12 grad; -3 non-degree</t>
  </si>
  <si>
    <t>-15 grad/prof; -2 non-degree</t>
  </si>
  <si>
    <t>-80 ug; +31 grad/prof; -0 non-degree</t>
  </si>
  <si>
    <t>-4 ug; +6 grad</t>
  </si>
  <si>
    <t>+46 ug; +15 grad/prof</t>
  </si>
  <si>
    <t>-24 ug; +6 grad</t>
  </si>
  <si>
    <t>+62 ug; +18 grad; +0 non-degree</t>
  </si>
  <si>
    <t>+7 non-degree</t>
  </si>
  <si>
    <t>+343 ug; +10 hs; +34 non-degree</t>
  </si>
  <si>
    <t>-65 ug; -13 grad</t>
  </si>
  <si>
    <t>-52 ug; +62 grad</t>
  </si>
  <si>
    <t>+7 ug; -8 grad; -1 non-degree</t>
  </si>
  <si>
    <t>-7 ug; -1 grad/prof</t>
  </si>
  <si>
    <t>-21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</si>
</sst>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30" fillId="3" borderId="9" xfId="0" applyNumberFormat="1" applyFont="1" applyFill="1" applyBorder="1" applyAlignment="1">
      <alignment horizontal="center" vertic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164" fontId="28" fillId="2" borderId="2" xfId="0" applyNumberFormat="1" applyFont="1" applyFill="1" applyBorder="1" applyAlignment="1">
      <alignment horizontal="center" wrapText="1"/>
    </xf>
    <xf numFmtId="49" fontId="4" fillId="0" borderId="22" xfId="0" applyNumberFormat="1" applyFont="1" applyFill="1" applyBorder="1"/>
    <xf numFmtId="166" fontId="28"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8" fillId="0" borderId="9" xfId="0" applyNumberFormat="1" applyFont="1" applyBorder="1" applyAlignment="1">
      <alignment horizontal="center" vertical="center" wrapText="1" readingOrder="1"/>
    </xf>
    <xf numFmtId="3" fontId="29" fillId="2" borderId="3" xfId="0" applyNumberFormat="1" applyFont="1" applyFill="1" applyBorder="1" applyAlignment="1">
      <alignment horizontal="center" wrapText="1"/>
    </xf>
    <xf numFmtId="3" fontId="29" fillId="5" borderId="10" xfId="0" applyNumberFormat="1" applyFont="1" applyFill="1" applyBorder="1" applyAlignment="1">
      <alignment horizontal="center" wrapText="1"/>
    </xf>
    <xf numFmtId="164" fontId="29" fillId="5" borderId="2" xfId="0" applyNumberFormat="1" applyFont="1" applyFill="1" applyBorder="1" applyAlignment="1">
      <alignment horizont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0" fillId="0" borderId="4" xfId="0" applyFont="1" applyBorder="1" applyAlignment="1">
      <alignment wrapText="1"/>
    </xf>
    <xf numFmtId="0" fontId="20" fillId="0" borderId="9" xfId="0" applyFont="1" applyBorder="1" applyAlignment="1">
      <alignment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3" fontId="29" fillId="5" borderId="28" xfId="0" applyNumberFormat="1" applyFont="1" applyFill="1" applyBorder="1" applyAlignment="1">
      <alignment horizontal="center" vertical="center" wrapText="1"/>
    </xf>
    <xf numFmtId="164" fontId="29" fillId="5" borderId="29"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I25" sqref="I2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86" t="s">
        <v>32</v>
      </c>
      <c r="C1" s="187"/>
      <c r="D1" s="187"/>
      <c r="E1" s="6"/>
      <c r="F1" s="14"/>
      <c r="G1" s="191">
        <v>43633</v>
      </c>
      <c r="H1" s="192"/>
      <c r="I1" s="192"/>
      <c r="J1" s="192"/>
      <c r="K1" s="192"/>
      <c r="L1" s="192"/>
    </row>
    <row r="2" spans="1:12" s="3" customFormat="1" ht="16.5" customHeight="1" thickBot="1" x14ac:dyDescent="0.3">
      <c r="A2" s="188" t="s">
        <v>3</v>
      </c>
      <c r="B2" s="189"/>
      <c r="C2" s="189"/>
      <c r="D2" s="58"/>
      <c r="E2" s="58"/>
      <c r="F2" s="15"/>
      <c r="G2" s="190" t="s">
        <v>4</v>
      </c>
      <c r="H2" s="189"/>
      <c r="I2" s="189"/>
      <c r="J2" s="189"/>
      <c r="K2" s="68"/>
      <c r="L2" s="156"/>
    </row>
    <row r="3" spans="1:12" s="1" customFormat="1" ht="15.75" thickBot="1" x14ac:dyDescent="0.3">
      <c r="A3" s="52" t="s">
        <v>2</v>
      </c>
      <c r="B3" s="53" t="s">
        <v>78</v>
      </c>
      <c r="C3" s="53" t="s">
        <v>77</v>
      </c>
      <c r="D3" s="57" t="s">
        <v>0</v>
      </c>
      <c r="E3" s="55" t="s">
        <v>1</v>
      </c>
      <c r="F3" s="45"/>
      <c r="G3" s="52" t="s">
        <v>2</v>
      </c>
      <c r="H3" s="53" t="s">
        <v>78</v>
      </c>
      <c r="I3" s="53" t="s">
        <v>77</v>
      </c>
      <c r="J3" s="54" t="s">
        <v>0</v>
      </c>
      <c r="K3" s="55" t="s">
        <v>1</v>
      </c>
      <c r="L3" s="147" t="s">
        <v>36</v>
      </c>
    </row>
    <row r="4" spans="1:12" ht="15" x14ac:dyDescent="0.25">
      <c r="A4" s="56" t="s">
        <v>19</v>
      </c>
      <c r="B4" s="59">
        <v>216.5</v>
      </c>
      <c r="C4" s="59">
        <v>283</v>
      </c>
      <c r="D4" s="134">
        <f t="shared" ref="D4:D23" si="0">C4-B4</f>
        <v>66.5</v>
      </c>
      <c r="E4" s="135">
        <f t="shared" ref="E4:E21" si="1">D4/B4</f>
        <v>0.30715935334872979</v>
      </c>
      <c r="F4" s="21"/>
      <c r="G4" s="51" t="s">
        <v>19</v>
      </c>
      <c r="H4" s="50">
        <v>26</v>
      </c>
      <c r="I4" s="50">
        <v>38</v>
      </c>
      <c r="J4" s="140">
        <f>I4-H4</f>
        <v>12</v>
      </c>
      <c r="K4" s="141">
        <f>J4/H4</f>
        <v>0.46153846153846156</v>
      </c>
      <c r="L4" s="148" t="s">
        <v>81</v>
      </c>
    </row>
    <row r="5" spans="1:12" ht="15" x14ac:dyDescent="0.25">
      <c r="A5" s="22" t="s">
        <v>20</v>
      </c>
      <c r="B5" s="59">
        <v>6601</v>
      </c>
      <c r="C5" s="59">
        <v>6322</v>
      </c>
      <c r="D5" s="106">
        <f t="shared" si="0"/>
        <v>-279</v>
      </c>
      <c r="E5" s="71">
        <f t="shared" si="1"/>
        <v>-4.2266323284350857E-2</v>
      </c>
      <c r="F5" s="21"/>
      <c r="G5" s="18" t="s">
        <v>20</v>
      </c>
      <c r="H5" s="50">
        <f>635+17</f>
        <v>652</v>
      </c>
      <c r="I5" s="50">
        <f>576+20</f>
        <v>596</v>
      </c>
      <c r="J5" s="117">
        <f t="shared" ref="J5:J27" si="2">I5-H5</f>
        <v>-56</v>
      </c>
      <c r="K5" s="118">
        <f t="shared" ref="K5:K27" si="3">J5/H5</f>
        <v>-8.5889570552147243E-2</v>
      </c>
      <c r="L5" s="148" t="s">
        <v>82</v>
      </c>
    </row>
    <row r="6" spans="1:12" ht="15" x14ac:dyDescent="0.25">
      <c r="A6" s="22" t="s">
        <v>24</v>
      </c>
      <c r="B6" s="59">
        <f>9251+13462</f>
        <v>22713</v>
      </c>
      <c r="C6" s="59">
        <f>9392+12734</f>
        <v>22126</v>
      </c>
      <c r="D6" s="106">
        <f t="shared" si="0"/>
        <v>-587</v>
      </c>
      <c r="E6" s="71">
        <f t="shared" si="1"/>
        <v>-2.5844230176550874E-2</v>
      </c>
      <c r="F6" s="21"/>
      <c r="G6" s="18" t="s">
        <v>24</v>
      </c>
      <c r="H6" s="50">
        <f>2144</f>
        <v>2144</v>
      </c>
      <c r="I6" s="50">
        <f>2066</f>
        <v>2066</v>
      </c>
      <c r="J6" s="117">
        <f t="shared" si="2"/>
        <v>-78</v>
      </c>
      <c r="K6" s="118">
        <f t="shared" si="3"/>
        <v>-3.6380597014925374E-2</v>
      </c>
      <c r="L6" s="149" t="s">
        <v>94</v>
      </c>
    </row>
    <row r="7" spans="1:12" ht="15.75" customHeight="1" x14ac:dyDescent="0.25">
      <c r="A7" s="22" t="s">
        <v>48</v>
      </c>
      <c r="B7" s="59">
        <f>5465+11535</f>
        <v>17000</v>
      </c>
      <c r="C7" s="59">
        <v>14616</v>
      </c>
      <c r="D7" s="106">
        <f t="shared" si="0"/>
        <v>-2384</v>
      </c>
      <c r="E7" s="71">
        <f t="shared" si="1"/>
        <v>-0.14023529411764707</v>
      </c>
      <c r="F7" s="21"/>
      <c r="G7" s="22" t="s">
        <v>48</v>
      </c>
      <c r="H7" s="50">
        <f>9+3+531+683</f>
        <v>1226</v>
      </c>
      <c r="I7" s="50">
        <f>6+1022</f>
        <v>1028</v>
      </c>
      <c r="J7" s="117">
        <f t="shared" si="2"/>
        <v>-198</v>
      </c>
      <c r="K7" s="118">
        <f t="shared" si="3"/>
        <v>-0.16150081566068517</v>
      </c>
      <c r="L7" s="149" t="s">
        <v>83</v>
      </c>
    </row>
    <row r="8" spans="1:12" ht="15" x14ac:dyDescent="0.25">
      <c r="A8" s="22" t="s">
        <v>35</v>
      </c>
      <c r="B8" s="59">
        <v>6664</v>
      </c>
      <c r="C8" s="59">
        <v>6860.5</v>
      </c>
      <c r="D8" s="69">
        <f t="shared" si="0"/>
        <v>196.5</v>
      </c>
      <c r="E8" s="70">
        <f t="shared" si="1"/>
        <v>2.9486794717887156E-2</v>
      </c>
      <c r="F8" s="21"/>
      <c r="G8" s="18" t="s">
        <v>35</v>
      </c>
      <c r="H8" s="50">
        <v>497</v>
      </c>
      <c r="I8" s="50">
        <v>512</v>
      </c>
      <c r="J8" s="130">
        <f t="shared" si="2"/>
        <v>15</v>
      </c>
      <c r="K8" s="131">
        <f t="shared" si="3"/>
        <v>3.0181086519114688E-2</v>
      </c>
      <c r="L8" s="149" t="s">
        <v>84</v>
      </c>
    </row>
    <row r="9" spans="1:12" ht="15" x14ac:dyDescent="0.25">
      <c r="A9" s="22" t="s">
        <v>46</v>
      </c>
      <c r="B9" s="59">
        <v>9268</v>
      </c>
      <c r="C9" s="59">
        <v>9405</v>
      </c>
      <c r="D9" s="69">
        <f t="shared" si="0"/>
        <v>137</v>
      </c>
      <c r="E9" s="70">
        <f t="shared" si="1"/>
        <v>1.478204574881312E-2</v>
      </c>
      <c r="F9" s="21"/>
      <c r="G9" s="22" t="s">
        <v>46</v>
      </c>
      <c r="H9" s="50">
        <f>922+11</f>
        <v>933</v>
      </c>
      <c r="I9" s="50">
        <f>902+12</f>
        <v>914</v>
      </c>
      <c r="J9" s="117">
        <f t="shared" si="2"/>
        <v>-19</v>
      </c>
      <c r="K9" s="118">
        <f t="shared" si="3"/>
        <v>-2.0364415862808145E-2</v>
      </c>
      <c r="L9" s="149" t="s">
        <v>85</v>
      </c>
    </row>
    <row r="10" spans="1:12" ht="15" x14ac:dyDescent="0.25">
      <c r="A10" s="22" t="s">
        <v>69</v>
      </c>
      <c r="B10" s="59">
        <v>17127</v>
      </c>
      <c r="C10" s="59">
        <v>16060.5</v>
      </c>
      <c r="D10" s="125">
        <f t="shared" si="0"/>
        <v>-1066.5</v>
      </c>
      <c r="E10" s="126">
        <f t="shared" si="1"/>
        <v>-6.2270099842354175E-2</v>
      </c>
      <c r="F10" s="21"/>
      <c r="G10" s="18" t="s">
        <v>69</v>
      </c>
      <c r="H10" s="50">
        <v>1054</v>
      </c>
      <c r="I10" s="50">
        <v>868</v>
      </c>
      <c r="J10" s="117">
        <f t="shared" si="2"/>
        <v>-186</v>
      </c>
      <c r="K10" s="118">
        <f t="shared" si="3"/>
        <v>-0.17647058823529413</v>
      </c>
      <c r="L10" s="149" t="s">
        <v>80</v>
      </c>
    </row>
    <row r="11" spans="1:12" ht="14.25" customHeight="1" x14ac:dyDescent="0.25">
      <c r="A11" s="22" t="s">
        <v>33</v>
      </c>
      <c r="B11" s="59">
        <v>7312.5</v>
      </c>
      <c r="C11" s="59">
        <v>7032</v>
      </c>
      <c r="D11" s="106">
        <f t="shared" si="0"/>
        <v>-280.5</v>
      </c>
      <c r="E11" s="71">
        <f t="shared" si="1"/>
        <v>-3.8358974358974361E-2</v>
      </c>
      <c r="F11" s="21"/>
      <c r="G11" s="18" t="s">
        <v>33</v>
      </c>
      <c r="H11" s="50">
        <v>570</v>
      </c>
      <c r="I11" s="50">
        <v>553</v>
      </c>
      <c r="J11" s="117">
        <f t="shared" si="2"/>
        <v>-17</v>
      </c>
      <c r="K11" s="118">
        <f t="shared" si="3"/>
        <v>-2.9824561403508771E-2</v>
      </c>
      <c r="L11" s="149" t="s">
        <v>86</v>
      </c>
    </row>
    <row r="12" spans="1:12" ht="15" x14ac:dyDescent="0.25">
      <c r="A12" s="22" t="s">
        <v>47</v>
      </c>
      <c r="B12" s="59">
        <v>29746</v>
      </c>
      <c r="C12" s="59">
        <v>30161</v>
      </c>
      <c r="D12" s="69">
        <f t="shared" si="0"/>
        <v>415</v>
      </c>
      <c r="E12" s="70">
        <f t="shared" si="1"/>
        <v>1.3951455657903584E-2</v>
      </c>
      <c r="F12" s="21"/>
      <c r="G12" s="18" t="s">
        <v>47</v>
      </c>
      <c r="H12" s="50">
        <v>1279</v>
      </c>
      <c r="I12" s="50">
        <v>1277</v>
      </c>
      <c r="J12" s="117">
        <f t="shared" si="2"/>
        <v>-2</v>
      </c>
      <c r="K12" s="118">
        <f t="shared" si="3"/>
        <v>-1.563721657544957E-3</v>
      </c>
      <c r="L12" s="149" t="s">
        <v>96</v>
      </c>
    </row>
    <row r="13" spans="1:12" ht="15" customHeight="1" x14ac:dyDescent="0.25">
      <c r="A13" s="22" t="s">
        <v>38</v>
      </c>
      <c r="B13" s="59">
        <v>2654</v>
      </c>
      <c r="C13" s="59">
        <v>2378</v>
      </c>
      <c r="D13" s="106">
        <f t="shared" si="0"/>
        <v>-276</v>
      </c>
      <c r="E13" s="71">
        <f t="shared" si="1"/>
        <v>-0.10399397136397889</v>
      </c>
      <c r="F13" s="21"/>
      <c r="G13" s="18" t="s">
        <v>38</v>
      </c>
      <c r="H13" s="50">
        <v>177</v>
      </c>
      <c r="I13" s="50">
        <v>169</v>
      </c>
      <c r="J13" s="117">
        <f t="shared" si="2"/>
        <v>-8</v>
      </c>
      <c r="K13" s="118">
        <f t="shared" si="3"/>
        <v>-4.519774011299435E-2</v>
      </c>
      <c r="L13" s="150" t="s">
        <v>97</v>
      </c>
    </row>
    <row r="14" spans="1:12" ht="14.25" customHeight="1" x14ac:dyDescent="0.25">
      <c r="A14" s="22" t="s">
        <v>21</v>
      </c>
      <c r="B14" s="59">
        <v>9199</v>
      </c>
      <c r="C14" s="59">
        <v>9106</v>
      </c>
      <c r="D14" s="106">
        <f t="shared" si="0"/>
        <v>-93</v>
      </c>
      <c r="E14" s="71">
        <f t="shared" si="1"/>
        <v>-1.0109794542885096E-2</v>
      </c>
      <c r="F14" s="21"/>
      <c r="G14" s="18" t="s">
        <v>21</v>
      </c>
      <c r="H14" s="50">
        <f>920+15</f>
        <v>935</v>
      </c>
      <c r="I14" s="50">
        <f>870+16</f>
        <v>886</v>
      </c>
      <c r="J14" s="117">
        <f t="shared" si="2"/>
        <v>-49</v>
      </c>
      <c r="K14" s="118">
        <f t="shared" si="3"/>
        <v>-5.2406417112299465E-2</v>
      </c>
      <c r="L14" s="150" t="s">
        <v>87</v>
      </c>
    </row>
    <row r="15" spans="1:12" ht="15" x14ac:dyDescent="0.25">
      <c r="A15" s="22" t="s">
        <v>40</v>
      </c>
      <c r="B15" s="59">
        <v>829</v>
      </c>
      <c r="C15" s="59">
        <v>905</v>
      </c>
      <c r="D15" s="69">
        <f t="shared" si="0"/>
        <v>76</v>
      </c>
      <c r="E15" s="70">
        <f t="shared" si="1"/>
        <v>9.167671893848009E-2</v>
      </c>
      <c r="F15" s="21"/>
      <c r="G15" s="22" t="s">
        <v>40</v>
      </c>
      <c r="H15" s="50">
        <f>112+39</f>
        <v>151</v>
      </c>
      <c r="I15" s="50">
        <f>118+35</f>
        <v>153</v>
      </c>
      <c r="J15" s="130">
        <f t="shared" si="2"/>
        <v>2</v>
      </c>
      <c r="K15" s="131">
        <f t="shared" si="3"/>
        <v>1.3245033112582781E-2</v>
      </c>
      <c r="L15" s="149" t="s">
        <v>88</v>
      </c>
    </row>
    <row r="16" spans="1:12" ht="15" customHeight="1" x14ac:dyDescent="0.25">
      <c r="A16" s="22" t="s">
        <v>72</v>
      </c>
      <c r="B16" s="59">
        <v>6910</v>
      </c>
      <c r="C16" s="59">
        <v>6429</v>
      </c>
      <c r="D16" s="106">
        <f t="shared" si="0"/>
        <v>-481</v>
      </c>
      <c r="E16" s="71">
        <f t="shared" si="1"/>
        <v>-6.9609261939218528E-2</v>
      </c>
      <c r="F16" s="21"/>
      <c r="G16" s="18" t="s">
        <v>71</v>
      </c>
      <c r="H16" s="50">
        <v>658</v>
      </c>
      <c r="I16" s="50">
        <v>640</v>
      </c>
      <c r="J16" s="117">
        <f t="shared" si="2"/>
        <v>-18</v>
      </c>
      <c r="K16" s="118">
        <f t="shared" si="3"/>
        <v>-2.7355623100303952E-2</v>
      </c>
      <c r="L16" s="149" t="s">
        <v>90</v>
      </c>
    </row>
    <row r="17" spans="1:12" ht="15" x14ac:dyDescent="0.25">
      <c r="A17" s="18" t="s">
        <v>37</v>
      </c>
      <c r="B17" s="59">
        <v>5027</v>
      </c>
      <c r="C17" s="59">
        <v>5903</v>
      </c>
      <c r="D17" s="69">
        <f t="shared" si="0"/>
        <v>876</v>
      </c>
      <c r="E17" s="70">
        <f t="shared" si="1"/>
        <v>0.1742590013924806</v>
      </c>
      <c r="F17" s="21"/>
      <c r="G17" s="18" t="s">
        <v>37</v>
      </c>
      <c r="H17" s="50">
        <f>327+28</f>
        <v>355</v>
      </c>
      <c r="I17" s="50">
        <f>385+31</f>
        <v>416</v>
      </c>
      <c r="J17" s="130">
        <f t="shared" si="2"/>
        <v>61</v>
      </c>
      <c r="K17" s="131">
        <f t="shared" si="3"/>
        <v>0.17183098591549295</v>
      </c>
      <c r="L17" s="149" t="s">
        <v>89</v>
      </c>
    </row>
    <row r="18" spans="1:12" ht="15" x14ac:dyDescent="0.25">
      <c r="A18" s="22" t="s">
        <v>22</v>
      </c>
      <c r="B18" s="59">
        <v>44946</v>
      </c>
      <c r="C18" s="59">
        <v>46745</v>
      </c>
      <c r="D18" s="69">
        <f t="shared" si="0"/>
        <v>1799</v>
      </c>
      <c r="E18" s="70">
        <f t="shared" si="1"/>
        <v>4.0025808748275708E-2</v>
      </c>
      <c r="F18" s="21"/>
      <c r="G18" s="18" t="s">
        <v>22</v>
      </c>
      <c r="H18" s="50">
        <f>1937</f>
        <v>1937</v>
      </c>
      <c r="I18" s="50">
        <f>2020</f>
        <v>2020</v>
      </c>
      <c r="J18" s="130">
        <f t="shared" si="2"/>
        <v>83</v>
      </c>
      <c r="K18" s="131">
        <f t="shared" si="3"/>
        <v>4.2849767681982447E-2</v>
      </c>
      <c r="L18" s="149" t="s">
        <v>91</v>
      </c>
    </row>
    <row r="19" spans="1:12" ht="15.75" customHeight="1" x14ac:dyDescent="0.25">
      <c r="A19" s="22" t="s">
        <v>41</v>
      </c>
      <c r="B19" s="59">
        <f>6156+106</f>
        <v>6262</v>
      </c>
      <c r="C19" s="59">
        <f>6670+119</f>
        <v>6789</v>
      </c>
      <c r="D19" s="69">
        <f t="shared" si="0"/>
        <v>527</v>
      </c>
      <c r="E19" s="70">
        <f t="shared" si="1"/>
        <v>8.4158415841584164E-2</v>
      </c>
      <c r="F19" s="21"/>
      <c r="G19" s="18" t="s">
        <v>41</v>
      </c>
      <c r="H19" s="50">
        <f>4+2+629</f>
        <v>635</v>
      </c>
      <c r="I19" s="50">
        <f>631+8+6</f>
        <v>645</v>
      </c>
      <c r="J19" s="130">
        <f t="shared" si="2"/>
        <v>10</v>
      </c>
      <c r="K19" s="131">
        <f t="shared" si="3"/>
        <v>1.5748031496062992E-2</v>
      </c>
      <c r="L19" s="149" t="s">
        <v>95</v>
      </c>
    </row>
    <row r="20" spans="1:12" ht="15" x14ac:dyDescent="0.25">
      <c r="A20" s="22" t="s">
        <v>43</v>
      </c>
      <c r="B20" s="59">
        <v>0</v>
      </c>
      <c r="C20" s="59">
        <v>18</v>
      </c>
      <c r="D20" s="69">
        <f t="shared" si="0"/>
        <v>18</v>
      </c>
      <c r="E20" s="70" t="s">
        <v>45</v>
      </c>
      <c r="F20" s="21"/>
      <c r="G20" s="18" t="s">
        <v>65</v>
      </c>
      <c r="H20" s="50">
        <v>68</v>
      </c>
      <c r="I20" s="50">
        <v>47</v>
      </c>
      <c r="J20" s="117">
        <f t="shared" si="2"/>
        <v>-21</v>
      </c>
      <c r="K20" s="118">
        <f t="shared" si="3"/>
        <v>-0.30882352941176472</v>
      </c>
      <c r="L20" s="149" t="s">
        <v>98</v>
      </c>
    </row>
    <row r="21" spans="1:12" ht="15" customHeight="1" x14ac:dyDescent="0.25">
      <c r="A21" s="22" t="s">
        <v>6</v>
      </c>
      <c r="B21" s="59">
        <v>26</v>
      </c>
      <c r="C21" s="59">
        <v>31</v>
      </c>
      <c r="D21" s="69">
        <f>C21-B21</f>
        <v>5</v>
      </c>
      <c r="E21" s="70">
        <f t="shared" si="1"/>
        <v>0.19230769230769232</v>
      </c>
      <c r="F21" s="21"/>
      <c r="G21" s="18" t="s">
        <v>23</v>
      </c>
      <c r="H21" s="50">
        <v>2569</v>
      </c>
      <c r="I21" s="50">
        <v>2956</v>
      </c>
      <c r="J21" s="207">
        <f t="shared" si="2"/>
        <v>387</v>
      </c>
      <c r="K21" s="208">
        <f t="shared" si="3"/>
        <v>0.15064227325807708</v>
      </c>
      <c r="L21" s="151" t="s">
        <v>93</v>
      </c>
    </row>
    <row r="22" spans="1:12" ht="15" customHeight="1" x14ac:dyDescent="0.25">
      <c r="A22" s="34" t="s">
        <v>23</v>
      </c>
      <c r="B22" s="59">
        <v>578</v>
      </c>
      <c r="C22" s="59">
        <v>1098</v>
      </c>
      <c r="D22" s="69">
        <f>C22-B22</f>
        <v>520</v>
      </c>
      <c r="E22" s="70">
        <f t="shared" ref="E22" si="4">D22/B22</f>
        <v>0.89965397923875434</v>
      </c>
      <c r="F22" s="95"/>
      <c r="G22" s="132" t="s">
        <v>66</v>
      </c>
      <c r="H22" s="50">
        <v>0</v>
      </c>
      <c r="I22" s="50">
        <v>7</v>
      </c>
      <c r="J22" s="130">
        <f t="shared" ref="J22" si="5">I22-H22</f>
        <v>7</v>
      </c>
      <c r="K22" s="131" t="s">
        <v>45</v>
      </c>
      <c r="L22" s="151" t="s">
        <v>92</v>
      </c>
    </row>
    <row r="23" spans="1:12" ht="15" customHeight="1" x14ac:dyDescent="0.25">
      <c r="A23" s="34" t="s">
        <v>62</v>
      </c>
      <c r="B23" s="102">
        <v>89</v>
      </c>
      <c r="C23" s="103">
        <v>319</v>
      </c>
      <c r="D23" s="69">
        <f t="shared" si="0"/>
        <v>230</v>
      </c>
      <c r="E23" s="70">
        <f>D23/B23</f>
        <v>2.5842696629213484</v>
      </c>
      <c r="F23" s="95"/>
      <c r="G23" s="133"/>
      <c r="H23" s="50"/>
      <c r="I23" s="50"/>
      <c r="J23" s="117"/>
      <c r="K23" s="118"/>
      <c r="L23" s="152"/>
    </row>
    <row r="24" spans="1:12" ht="14.25" customHeight="1" x14ac:dyDescent="0.25">
      <c r="A24" s="35" t="s">
        <v>31</v>
      </c>
      <c r="B24" s="60">
        <f>SUM(B4:B23)</f>
        <v>193168</v>
      </c>
      <c r="C24" s="60">
        <f>SUM(C4:C23)</f>
        <v>192587</v>
      </c>
      <c r="D24" s="129">
        <f>C24-B24</f>
        <v>-581</v>
      </c>
      <c r="E24" s="120">
        <f>D24/B24</f>
        <v>-3.0077445539633892E-3</v>
      </c>
      <c r="F24" s="105"/>
      <c r="G24" s="104" t="s">
        <v>73</v>
      </c>
      <c r="H24" s="49">
        <f>SUM(H4:H22)</f>
        <v>15866</v>
      </c>
      <c r="I24" s="49">
        <f>SUM(I4:I22)-1</f>
        <v>15790</v>
      </c>
      <c r="J24" s="127">
        <f>I24-H24</f>
        <v>-76</v>
      </c>
      <c r="K24" s="128">
        <f>J24/H24</f>
        <v>-4.7901172318164627E-3</v>
      </c>
      <c r="L24" s="153"/>
    </row>
    <row r="25" spans="1:12" ht="14.25" customHeight="1" x14ac:dyDescent="0.25">
      <c r="A25" s="32" t="s">
        <v>14</v>
      </c>
      <c r="B25" s="100">
        <v>9565</v>
      </c>
      <c r="C25" s="101">
        <v>11259.5</v>
      </c>
      <c r="D25" s="111">
        <f t="shared" ref="D25" si="6">C25-B25</f>
        <v>1694.5</v>
      </c>
      <c r="E25" s="136">
        <f t="shared" ref="E25:E26" si="7">D25/B25</f>
        <v>0.17715629900679561</v>
      </c>
      <c r="F25" s="23"/>
      <c r="G25" s="32" t="s">
        <v>14</v>
      </c>
      <c r="H25" s="62">
        <v>792</v>
      </c>
      <c r="I25" s="62">
        <v>886</v>
      </c>
      <c r="J25" s="110">
        <f>I25-H25</f>
        <v>94</v>
      </c>
      <c r="K25" s="139">
        <f>J25/H25</f>
        <v>0.11868686868686869</v>
      </c>
      <c r="L25" s="202" t="s">
        <v>68</v>
      </c>
    </row>
    <row r="26" spans="1:12" ht="15" customHeight="1" x14ac:dyDescent="0.25">
      <c r="A26" s="96" t="s">
        <v>70</v>
      </c>
      <c r="B26" s="44">
        <v>1098</v>
      </c>
      <c r="C26" s="44">
        <v>6242</v>
      </c>
      <c r="D26" s="111">
        <f>C26-B26</f>
        <v>5144</v>
      </c>
      <c r="E26" s="136">
        <f t="shared" si="7"/>
        <v>4.6848816029143894</v>
      </c>
      <c r="F26" s="95"/>
      <c r="G26" s="96" t="s">
        <v>70</v>
      </c>
      <c r="H26" s="108">
        <v>78</v>
      </c>
      <c r="I26" s="109">
        <v>499</v>
      </c>
      <c r="J26" s="110">
        <f>I26-H26</f>
        <v>421</v>
      </c>
      <c r="K26" s="142" t="s">
        <v>45</v>
      </c>
      <c r="L26" s="203"/>
    </row>
    <row r="27" spans="1:12" ht="18" customHeight="1" thickBot="1" x14ac:dyDescent="0.3">
      <c r="A27" s="91" t="s">
        <v>44</v>
      </c>
      <c r="B27" s="92">
        <f>SUM(B24:B26)</f>
        <v>203831</v>
      </c>
      <c r="C27" s="92">
        <f>SUM(C24:C26)</f>
        <v>210088.5</v>
      </c>
      <c r="D27" s="205">
        <f t="shared" ref="D27" si="8">C27-B27</f>
        <v>6257.5</v>
      </c>
      <c r="E27" s="206">
        <f t="shared" ref="E27" si="9">D27/B27</f>
        <v>3.0699451996997511E-2</v>
      </c>
      <c r="F27" s="24"/>
      <c r="G27" s="33" t="s">
        <v>44</v>
      </c>
      <c r="H27" s="61">
        <f>SUM(H24:H26)</f>
        <v>16736</v>
      </c>
      <c r="I27" s="61">
        <f>SUM(I24:I26)</f>
        <v>17175</v>
      </c>
      <c r="J27" s="161">
        <f t="shared" si="2"/>
        <v>439</v>
      </c>
      <c r="K27" s="162">
        <f t="shared" si="3"/>
        <v>2.6230879541108986E-2</v>
      </c>
      <c r="L27" s="203"/>
    </row>
    <row r="28" spans="1:12" ht="14.25" customHeight="1" thickTop="1" x14ac:dyDescent="0.2">
      <c r="A28" s="199" t="s">
        <v>9</v>
      </c>
      <c r="B28" s="199"/>
      <c r="C28" s="199"/>
      <c r="D28" s="199"/>
      <c r="E28" s="199"/>
      <c r="F28" s="25"/>
      <c r="G28" s="193"/>
      <c r="H28" s="194"/>
      <c r="I28" s="194"/>
      <c r="J28" s="194"/>
      <c r="K28" s="194"/>
      <c r="L28" s="203"/>
    </row>
    <row r="29" spans="1:12" s="13" customFormat="1" ht="13.5" customHeight="1" x14ac:dyDescent="0.2">
      <c r="A29" s="200"/>
      <c r="B29" s="200"/>
      <c r="C29" s="200"/>
      <c r="D29" s="200"/>
      <c r="E29" s="200"/>
      <c r="F29" s="17"/>
      <c r="G29" s="195"/>
      <c r="H29" s="196"/>
      <c r="I29" s="196"/>
      <c r="J29" s="196"/>
      <c r="K29" s="196"/>
      <c r="L29" s="203"/>
    </row>
    <row r="30" spans="1:12" ht="10.5" customHeight="1" thickBot="1" x14ac:dyDescent="0.25">
      <c r="A30" s="201"/>
      <c r="B30" s="201"/>
      <c r="C30" s="201"/>
      <c r="D30" s="201"/>
      <c r="E30" s="201"/>
      <c r="F30" s="17"/>
      <c r="G30" s="197"/>
      <c r="H30" s="198"/>
      <c r="I30" s="198"/>
      <c r="J30" s="198"/>
      <c r="K30" s="198"/>
      <c r="L30" s="204"/>
    </row>
    <row r="31" spans="1:12" s="13" customFormat="1" ht="13.5" customHeight="1" thickBot="1" x14ac:dyDescent="0.25">
      <c r="A31" s="73" t="s">
        <v>61</v>
      </c>
      <c r="B31" s="19">
        <v>2018</v>
      </c>
      <c r="C31" s="19">
        <v>2019</v>
      </c>
      <c r="D31" s="89" t="s">
        <v>0</v>
      </c>
      <c r="E31" s="90" t="s">
        <v>1</v>
      </c>
      <c r="F31" s="25"/>
      <c r="G31" s="64" t="s">
        <v>59</v>
      </c>
      <c r="H31" s="19">
        <v>2018</v>
      </c>
      <c r="I31" s="19">
        <v>2019</v>
      </c>
      <c r="J31" s="19" t="s">
        <v>0</v>
      </c>
      <c r="K31" s="20" t="s">
        <v>1</v>
      </c>
      <c r="L31" s="154"/>
    </row>
    <row r="32" spans="1:12" ht="17.25" customHeight="1" x14ac:dyDescent="0.25">
      <c r="A32" s="76" t="s">
        <v>26</v>
      </c>
      <c r="B32" s="88">
        <f>1118+69</f>
        <v>1187</v>
      </c>
      <c r="C32" s="63">
        <f>114+4+14+1422</f>
        <v>1554</v>
      </c>
      <c r="D32" s="146">
        <f>C32-B32</f>
        <v>367</v>
      </c>
      <c r="E32" s="159">
        <f>D32/B32</f>
        <v>0.30918281381634372</v>
      </c>
      <c r="F32" s="26"/>
      <c r="G32" s="46" t="s">
        <v>7</v>
      </c>
      <c r="H32" s="78">
        <f>937+2665+3020+4756+65+78+189</f>
        <v>11710</v>
      </c>
      <c r="I32" s="78">
        <f>1289+2537+2962+4541+112+88+215</f>
        <v>11744</v>
      </c>
      <c r="J32" s="69">
        <f>I32-H32</f>
        <v>34</v>
      </c>
      <c r="K32" s="135">
        <f>J32/H32</f>
        <v>2.9035012809564475E-3</v>
      </c>
      <c r="L32" s="163" t="s">
        <v>49</v>
      </c>
    </row>
    <row r="33" spans="1:12" s="3" customFormat="1" ht="16.5" customHeight="1" x14ac:dyDescent="0.25">
      <c r="A33" s="77" t="s">
        <v>5</v>
      </c>
      <c r="B33" s="88">
        <f>42+2848</f>
        <v>2890</v>
      </c>
      <c r="C33" s="63">
        <f>38+2734</f>
        <v>2772</v>
      </c>
      <c r="D33" s="72">
        <f t="shared" ref="D33:D35" si="10">C33-B33</f>
        <v>-118</v>
      </c>
      <c r="E33" s="107">
        <f t="shared" ref="E33:E35" si="11">D33/B33</f>
        <v>-4.083044982698962E-2</v>
      </c>
      <c r="F33" s="26"/>
      <c r="G33" s="22" t="s">
        <v>8</v>
      </c>
      <c r="H33" s="115">
        <v>151041.5</v>
      </c>
      <c r="I33" s="79">
        <v>151560.5</v>
      </c>
      <c r="J33" s="69">
        <f>I33-H33</f>
        <v>519</v>
      </c>
      <c r="K33" s="135">
        <f>J33/H33</f>
        <v>3.4361417226391423E-3</v>
      </c>
      <c r="L33" s="164"/>
    </row>
    <row r="34" spans="1:12" ht="15" customHeight="1" x14ac:dyDescent="0.25">
      <c r="A34" s="77" t="s">
        <v>27</v>
      </c>
      <c r="B34" s="88">
        <v>3276</v>
      </c>
      <c r="C34" s="63">
        <v>3232</v>
      </c>
      <c r="D34" s="72">
        <f t="shared" si="10"/>
        <v>-44</v>
      </c>
      <c r="E34" s="107">
        <f t="shared" si="11"/>
        <v>-1.3431013431013432E-2</v>
      </c>
      <c r="F34" s="26"/>
      <c r="G34" s="47" t="s">
        <v>10</v>
      </c>
      <c r="H34" s="80">
        <f>H32+91+1657+555+92+92</f>
        <v>14197</v>
      </c>
      <c r="I34" s="80">
        <f>I32+84+1617+494+87+64</f>
        <v>14090</v>
      </c>
      <c r="J34" s="121">
        <f>I34-H34</f>
        <v>-107</v>
      </c>
      <c r="K34" s="122">
        <f>J34/H34</f>
        <v>-7.536803550045784E-3</v>
      </c>
      <c r="L34" s="164"/>
    </row>
    <row r="35" spans="1:12" ht="15.75" customHeight="1" thickBot="1" x14ac:dyDescent="0.3">
      <c r="A35" s="77" t="s">
        <v>28</v>
      </c>
      <c r="B35" s="88">
        <v>5087</v>
      </c>
      <c r="C35" s="63">
        <v>4926</v>
      </c>
      <c r="D35" s="72">
        <f t="shared" si="10"/>
        <v>-161</v>
      </c>
      <c r="E35" s="107">
        <f t="shared" si="11"/>
        <v>-3.1649302142716731E-2</v>
      </c>
      <c r="F35" s="26"/>
      <c r="G35" s="48" t="s">
        <v>11</v>
      </c>
      <c r="H35" s="116">
        <v>173854.5</v>
      </c>
      <c r="I35" s="81">
        <v>172714</v>
      </c>
      <c r="J35" s="123">
        <f>I35-H35</f>
        <v>-1140.5</v>
      </c>
      <c r="K35" s="124">
        <f>J35/H35</f>
        <v>-6.5600832880368352E-3</v>
      </c>
      <c r="L35" s="165"/>
    </row>
    <row r="36" spans="1:12" ht="15.75" customHeight="1" thickBot="1" x14ac:dyDescent="0.3">
      <c r="A36" s="42" t="s">
        <v>34</v>
      </c>
      <c r="B36" s="49">
        <f>SUM(B32:B35)</f>
        <v>12440</v>
      </c>
      <c r="C36" s="49">
        <f>SUM(C32:C35)</f>
        <v>12484</v>
      </c>
      <c r="D36" s="98">
        <f t="shared" ref="D36:D38" si="12">C36-B36</f>
        <v>44</v>
      </c>
      <c r="E36" s="99">
        <f t="shared" ref="E36:E38" si="13">D36/B36</f>
        <v>3.5369774919614149E-3</v>
      </c>
      <c r="F36" s="26"/>
      <c r="G36" s="40"/>
      <c r="H36" s="82"/>
      <c r="I36" s="87"/>
      <c r="J36" s="94"/>
      <c r="K36" s="93"/>
      <c r="L36" s="168" t="s">
        <v>74</v>
      </c>
    </row>
    <row r="37" spans="1:12" ht="16.5" customHeight="1" thickBot="1" x14ac:dyDescent="0.3">
      <c r="A37" s="41" t="s">
        <v>30</v>
      </c>
      <c r="B37" s="50">
        <f>78+201</f>
        <v>279</v>
      </c>
      <c r="C37" s="50">
        <f>88+232</f>
        <v>320</v>
      </c>
      <c r="D37" s="146">
        <f t="shared" si="12"/>
        <v>41</v>
      </c>
      <c r="E37" s="70">
        <f t="shared" si="13"/>
        <v>0.14695340501792115</v>
      </c>
      <c r="F37" s="26"/>
      <c r="G37" s="65" t="s">
        <v>60</v>
      </c>
      <c r="H37" s="19">
        <v>2018</v>
      </c>
      <c r="I37" s="19">
        <v>2019</v>
      </c>
      <c r="J37" s="66" t="s">
        <v>0</v>
      </c>
      <c r="K37" s="67" t="s">
        <v>1</v>
      </c>
      <c r="L37" s="169"/>
    </row>
    <row r="38" spans="1:12" ht="15" customHeight="1" x14ac:dyDescent="0.25">
      <c r="A38" s="42" t="s">
        <v>6</v>
      </c>
      <c r="B38" s="49">
        <f>2103+112</f>
        <v>2215</v>
      </c>
      <c r="C38" s="49">
        <f>102+2031</f>
        <v>2133</v>
      </c>
      <c r="D38" s="119">
        <f t="shared" si="12"/>
        <v>-82</v>
      </c>
      <c r="E38" s="120">
        <f t="shared" si="13"/>
        <v>-3.7020316027088038E-2</v>
      </c>
      <c r="F38" s="26"/>
      <c r="G38" s="37" t="s">
        <v>7</v>
      </c>
      <c r="H38" s="83">
        <f>181+225+256+331+4+12</f>
        <v>1009</v>
      </c>
      <c r="I38" s="83">
        <f>147+235+270+385+6+17</f>
        <v>1060</v>
      </c>
      <c r="J38" s="74">
        <f>I38-H38</f>
        <v>51</v>
      </c>
      <c r="K38" s="75">
        <f>J38/H38</f>
        <v>5.0545094152626362E-2</v>
      </c>
      <c r="L38" s="170"/>
    </row>
    <row r="39" spans="1:12" ht="14.25" customHeight="1" x14ac:dyDescent="0.25">
      <c r="A39" s="158" t="s">
        <v>63</v>
      </c>
      <c r="B39" s="49">
        <v>660</v>
      </c>
      <c r="C39" s="49">
        <v>606</v>
      </c>
      <c r="D39" s="119">
        <f>C39-B39</f>
        <v>-54</v>
      </c>
      <c r="E39" s="120">
        <f>D39/B39</f>
        <v>-8.1818181818181818E-2</v>
      </c>
      <c r="F39" s="17"/>
      <c r="G39" s="18" t="s">
        <v>8</v>
      </c>
      <c r="H39" s="79">
        <v>13680</v>
      </c>
      <c r="I39" s="84">
        <v>14405</v>
      </c>
      <c r="J39" s="74">
        <f>I39-H39</f>
        <v>725</v>
      </c>
      <c r="K39" s="75">
        <f>J39/H39</f>
        <v>5.2997076023391813E-2</v>
      </c>
      <c r="L39" s="183" t="s">
        <v>75</v>
      </c>
    </row>
    <row r="40" spans="1:12" ht="16.5" customHeight="1" x14ac:dyDescent="0.25">
      <c r="A40" s="42" t="s">
        <v>64</v>
      </c>
      <c r="B40" s="113">
        <v>166</v>
      </c>
      <c r="C40" s="114">
        <v>175</v>
      </c>
      <c r="D40" s="98">
        <f>C40-B40</f>
        <v>9</v>
      </c>
      <c r="E40" s="99">
        <f>D40/B40</f>
        <v>5.4216867469879519E-2</v>
      </c>
      <c r="F40" s="17"/>
      <c r="G40" s="38" t="s">
        <v>12</v>
      </c>
      <c r="H40" s="85">
        <f>H38+21+446+105+74+14</f>
        <v>1669</v>
      </c>
      <c r="I40" s="85">
        <f>I38+18+414+112+88+8</f>
        <v>1700</v>
      </c>
      <c r="J40" s="160">
        <f>I40-H40</f>
        <v>31</v>
      </c>
      <c r="K40" s="75">
        <f t="shared" ref="K40:K41" si="14">J40/H40</f>
        <v>1.8573996405032954E-2</v>
      </c>
      <c r="L40" s="184"/>
    </row>
    <row r="41" spans="1:12" ht="15.75" customHeight="1" thickBot="1" x14ac:dyDescent="0.3">
      <c r="A41" s="43" t="s">
        <v>29</v>
      </c>
      <c r="B41" s="112">
        <v>106</v>
      </c>
      <c r="C41" s="112">
        <v>72</v>
      </c>
      <c r="D41" s="137">
        <f>C41-B41</f>
        <v>-34</v>
      </c>
      <c r="E41" s="138">
        <f>D41/B41</f>
        <v>-0.32075471698113206</v>
      </c>
      <c r="F41" s="17"/>
      <c r="G41" s="39" t="s">
        <v>13</v>
      </c>
      <c r="H41" s="81">
        <v>19313.5</v>
      </c>
      <c r="I41" s="86">
        <v>19873</v>
      </c>
      <c r="J41" s="36">
        <f>I41-H41</f>
        <v>559.5</v>
      </c>
      <c r="K41" s="144">
        <f t="shared" si="14"/>
        <v>2.8969373754109819E-2</v>
      </c>
      <c r="L41" s="184"/>
    </row>
    <row r="42" spans="1:12" ht="12" customHeight="1" thickBot="1" x14ac:dyDescent="0.25">
      <c r="A42" s="177" t="s">
        <v>76</v>
      </c>
      <c r="B42" s="177"/>
      <c r="C42" s="177"/>
      <c r="D42" s="177"/>
      <c r="E42" s="177"/>
      <c r="F42" s="17"/>
      <c r="G42" s="5"/>
      <c r="H42" s="9"/>
      <c r="I42" s="9"/>
      <c r="L42" s="184"/>
    </row>
    <row r="43" spans="1:12" ht="13.5" customHeight="1" thickBot="1" x14ac:dyDescent="0.25">
      <c r="A43" s="178"/>
      <c r="B43" s="178"/>
      <c r="C43" s="178"/>
      <c r="D43" s="178"/>
      <c r="E43" s="178"/>
      <c r="F43" s="17"/>
      <c r="G43" s="166" t="s">
        <v>25</v>
      </c>
      <c r="H43" s="167"/>
      <c r="I43" s="167"/>
      <c r="J43" s="19">
        <v>2017</v>
      </c>
      <c r="K43" s="20">
        <v>2018</v>
      </c>
      <c r="L43" s="185"/>
    </row>
    <row r="44" spans="1:12" ht="12.75" customHeight="1" x14ac:dyDescent="0.25">
      <c r="A44" s="178"/>
      <c r="B44" s="178"/>
      <c r="C44" s="178"/>
      <c r="D44" s="178"/>
      <c r="E44" s="178"/>
      <c r="F44" s="27"/>
      <c r="G44" s="181" t="s">
        <v>18</v>
      </c>
      <c r="H44" s="182"/>
      <c r="I44" s="182"/>
      <c r="J44" s="30">
        <f>H38/H24</f>
        <v>6.3595109038194889E-2</v>
      </c>
      <c r="K44" s="31">
        <f>I38/I24</f>
        <v>6.713109563014566E-2</v>
      </c>
      <c r="L44" s="145" t="s">
        <v>58</v>
      </c>
    </row>
    <row r="45" spans="1:12" ht="12.75" customHeight="1" x14ac:dyDescent="0.25">
      <c r="A45" s="178"/>
      <c r="B45" s="178"/>
      <c r="C45" s="178"/>
      <c r="D45" s="178"/>
      <c r="E45" s="178"/>
      <c r="F45" s="27"/>
      <c r="G45" s="179" t="s">
        <v>15</v>
      </c>
      <c r="H45" s="180"/>
      <c r="I45" s="180"/>
      <c r="J45" s="30">
        <f>H39/B24</f>
        <v>7.0819183301582045E-2</v>
      </c>
      <c r="K45" s="11">
        <f>I39/C24</f>
        <v>7.4797364308078942E-2</v>
      </c>
      <c r="L45" s="155"/>
    </row>
    <row r="46" spans="1:12" ht="12" customHeight="1" x14ac:dyDescent="0.25">
      <c r="A46" s="178"/>
      <c r="B46" s="178"/>
      <c r="C46" s="178"/>
      <c r="D46" s="178"/>
      <c r="E46" s="178"/>
      <c r="F46" s="28"/>
      <c r="G46" s="171" t="s">
        <v>16</v>
      </c>
      <c r="H46" s="172"/>
      <c r="I46" s="172"/>
      <c r="J46" s="30">
        <f>H40/H24</f>
        <v>0.10519349552502207</v>
      </c>
      <c r="K46" s="11">
        <f>I40/I24</f>
        <v>0.10766307789740343</v>
      </c>
      <c r="L46" s="173" t="s">
        <v>42</v>
      </c>
    </row>
    <row r="47" spans="1:12" ht="3.75" hidden="1" customHeight="1" x14ac:dyDescent="0.25">
      <c r="A47" s="178"/>
      <c r="B47" s="178"/>
      <c r="C47" s="178"/>
      <c r="D47" s="178"/>
      <c r="E47" s="178"/>
      <c r="F47" s="28"/>
      <c r="G47" s="171" t="s">
        <v>17</v>
      </c>
      <c r="H47" s="172"/>
      <c r="I47" s="172"/>
      <c r="J47" s="30">
        <f t="shared" ref="J47" si="15">H41/H27</f>
        <v>1.1540093212237095</v>
      </c>
      <c r="K47" s="11">
        <f>I41/C24</f>
        <v>0.1031897272401564</v>
      </c>
      <c r="L47" s="174"/>
    </row>
    <row r="48" spans="1:12" ht="15" customHeight="1" thickBot="1" x14ac:dyDescent="0.3">
      <c r="A48" s="178"/>
      <c r="B48" s="178"/>
      <c r="C48" s="178"/>
      <c r="D48" s="178"/>
      <c r="E48" s="178"/>
      <c r="F48" s="17"/>
      <c r="G48" s="175" t="s">
        <v>17</v>
      </c>
      <c r="H48" s="176"/>
      <c r="I48" s="176"/>
      <c r="J48" s="143">
        <f>H41/B24</f>
        <v>9.9982916425080753E-2</v>
      </c>
      <c r="K48" s="12">
        <f>I41/C24</f>
        <v>0.1031897272401564</v>
      </c>
      <c r="L48" s="174"/>
    </row>
    <row r="49" spans="1:12" x14ac:dyDescent="0.2">
      <c r="A49" s="29" t="s">
        <v>39</v>
      </c>
      <c r="L49" s="157" t="s">
        <v>79</v>
      </c>
    </row>
  </sheetData>
  <mergeCells count="18">
    <mergeCell ref="B1:D1"/>
    <mergeCell ref="A2:C2"/>
    <mergeCell ref="G2:J2"/>
    <mergeCell ref="G1:L1"/>
    <mergeCell ref="G28:K30"/>
    <mergeCell ref="A28:E30"/>
    <mergeCell ref="L25:L30"/>
    <mergeCell ref="A42:E48"/>
    <mergeCell ref="G45:I45"/>
    <mergeCell ref="G44:I44"/>
    <mergeCell ref="G47:I47"/>
    <mergeCell ref="L39:L43"/>
    <mergeCell ref="L32:L35"/>
    <mergeCell ref="G43:I43"/>
    <mergeCell ref="L36:L38"/>
    <mergeCell ref="G46:I46"/>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7" sqref="F7"/>
    </sheetView>
  </sheetViews>
  <sheetFormatPr defaultRowHeight="12.75" x14ac:dyDescent="0.2"/>
  <cols>
    <col min="1" max="1" width="15.7109375" customWidth="1"/>
    <col min="2" max="2" width="14.7109375" customWidth="1"/>
    <col min="5" max="5" width="15" customWidth="1"/>
  </cols>
  <sheetData>
    <row r="2" spans="1:6" x14ac:dyDescent="0.2">
      <c r="B2" s="40" t="s">
        <v>54</v>
      </c>
      <c r="C2" s="40" t="s">
        <v>55</v>
      </c>
      <c r="E2" s="40" t="s">
        <v>56</v>
      </c>
      <c r="F2" s="40" t="s">
        <v>57</v>
      </c>
    </row>
    <row r="3" spans="1:6" x14ac:dyDescent="0.2">
      <c r="A3" t="s">
        <v>50</v>
      </c>
      <c r="B3" s="97">
        <f>IF(SUM('Sheet 1'!B4:B23)='Sheet 1'!B24,0,1)</f>
        <v>0</v>
      </c>
      <c r="C3" s="97">
        <f>IF(SUM('Sheet 1'!C4:C23)='Sheet 1'!C24,0,1)</f>
        <v>0</v>
      </c>
      <c r="D3" s="97"/>
      <c r="E3" s="97">
        <f>IF(SUM('Sheet 1'!H4:H22)='Sheet 1'!H24,0,1)</f>
        <v>0</v>
      </c>
      <c r="F3" s="97">
        <f>IF(SUM('Sheet 1'!I4:I22)='Sheet 1'!I24,0,1)</f>
        <v>1</v>
      </c>
    </row>
    <row r="4" spans="1:6" x14ac:dyDescent="0.2">
      <c r="A4" t="s">
        <v>51</v>
      </c>
      <c r="B4" s="97">
        <f>IF((SUM('Sheet 1'!B$24:B$26))=('Sheet 1'!B$27),0,1)</f>
        <v>0</v>
      </c>
      <c r="C4" s="97">
        <f>IF((SUM('Sheet 1'!C$24:C$26))=('Sheet 1'!C$27),0,1)</f>
        <v>0</v>
      </c>
      <c r="D4" s="97"/>
      <c r="E4" s="97">
        <f>IF((SUM('Sheet 1'!H$24:H$26))=('Sheet 1'!H$27),0,1)</f>
        <v>0</v>
      </c>
      <c r="F4" s="97">
        <f>IF((SUM('Sheet 1'!I$24:I$26))=('Sheet 1'!I$27),0,1)</f>
        <v>0</v>
      </c>
    </row>
    <row r="5" spans="1:6" x14ac:dyDescent="0.2">
      <c r="B5" s="97"/>
      <c r="C5" s="97"/>
      <c r="D5" s="97"/>
      <c r="E5" s="97"/>
      <c r="F5" s="97"/>
    </row>
    <row r="6" spans="1:6" x14ac:dyDescent="0.2">
      <c r="A6" t="s">
        <v>52</v>
      </c>
      <c r="B6" s="97"/>
      <c r="C6" s="97"/>
      <c r="D6" s="97"/>
      <c r="E6" s="97">
        <f>IF(SUM('Sheet 1'!B36:B41)='Sheet 1'!H24,0,1)</f>
        <v>0</v>
      </c>
      <c r="F6" s="97">
        <f>IF(SUM('Sheet 1'!C36:C41)='Sheet 1'!I24,0,1)</f>
        <v>0</v>
      </c>
    </row>
    <row r="7" spans="1:6" x14ac:dyDescent="0.2">
      <c r="B7" s="97"/>
      <c r="C7" s="97"/>
      <c r="D7" s="97"/>
      <c r="E7" s="97"/>
      <c r="F7" s="97"/>
    </row>
    <row r="8" spans="1:6" x14ac:dyDescent="0.2">
      <c r="A8" t="s">
        <v>53</v>
      </c>
      <c r="B8" s="97">
        <f>IF(SUM('Sheet 1'!H35,'Sheet 1'!H41)='Sheet 1'!B24,0,1)</f>
        <v>0</v>
      </c>
      <c r="C8" s="97">
        <f>IF(SUM('Sheet 1'!I35,'Sheet 1'!I41)='Sheet 1'!C24,0,1)</f>
        <v>0</v>
      </c>
      <c r="D8" s="97"/>
      <c r="E8" s="97">
        <f>IF(SUM('Sheet 1'!H34,'Sheet 1'!H40)='Sheet 1'!H24,0,1)</f>
        <v>0</v>
      </c>
      <c r="F8" s="97">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2019-06-17T18:25:49Z</dcterms:modified>
</cp:coreProperties>
</file>